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014)1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<sst xmlns="http://schemas.openxmlformats.org/spreadsheetml/2006/main" count="82" uniqueCount="72">
  <si>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Ա</t>
  </si>
  <si>
    <t>Բ</t>
  </si>
  <si>
    <t>Գ</t>
  </si>
  <si>
    <t>Ամբողջի մեջ %-ը</t>
  </si>
  <si>
    <t>արձակման նպաստ</t>
  </si>
  <si>
    <t>Գործուղումներ</t>
  </si>
  <si>
    <t>Էներգետիկ, կոմունալ և կապի ծառայություններ</t>
  </si>
  <si>
    <t>Մրցույթներով կատարվող գնումներ, որից</t>
  </si>
  <si>
    <t>2,1,1</t>
  </si>
  <si>
    <t>2,1,2</t>
  </si>
  <si>
    <t>2,2,1</t>
  </si>
  <si>
    <t>2,2,2</t>
  </si>
  <si>
    <t>2,2,3</t>
  </si>
  <si>
    <t>2,2,4</t>
  </si>
  <si>
    <t>2,2,5</t>
  </si>
  <si>
    <t>բենզին</t>
  </si>
  <si>
    <t>համազգեստ</t>
  </si>
  <si>
    <t>շենքերի, շինությունների                         ընթացիկ նորոգում և պահպանում</t>
  </si>
  <si>
    <t>մեքենաների և սարքավորումների          ընթացիկ նորոգում պահպանում</t>
  </si>
  <si>
    <t>սնունդ</t>
  </si>
  <si>
    <t>Արձակման նպաստներ</t>
  </si>
  <si>
    <t xml:space="preserve">Համազգեստ </t>
  </si>
  <si>
    <t>Բենզին</t>
  </si>
  <si>
    <t>Բարձրագույն մասնագիտական կրթություն</t>
  </si>
  <si>
    <t xml:space="preserve">այլ </t>
  </si>
  <si>
    <t>կրթաթոշակ</t>
  </si>
  <si>
    <t>Միջին մասնագիտական կրթություն</t>
  </si>
  <si>
    <t>Նախնական մասնագիտական (արհեստագործական) կրթություն</t>
  </si>
  <si>
    <t>Հ/Հ</t>
  </si>
  <si>
    <t>Դ</t>
  </si>
  <si>
    <t>Ե</t>
  </si>
  <si>
    <t>Զ</t>
  </si>
  <si>
    <t>Տարբերությունը</t>
  </si>
  <si>
    <t>%-ով</t>
  </si>
  <si>
    <t>աշխատավարձ</t>
  </si>
  <si>
    <t>X</t>
  </si>
  <si>
    <t>Գումա  րով</t>
  </si>
  <si>
    <t>Պարզաբանումներ</t>
  </si>
  <si>
    <r>
      <t xml:space="preserve">Ընթացիկ ծախսերին դասվող և վերը չնշված այլ  ապրանքներ, աշխատանքներ, ծառայություններ, </t>
    </r>
    <r>
      <rPr>
        <i/>
        <sz val="11"/>
        <rFont val="GHEA Grapalat"/>
        <family val="3"/>
      </rPr>
      <t>որից`</t>
    </r>
  </si>
  <si>
    <r>
      <t xml:space="preserve">Կենցաղային և հանրային սննդի նյութեր, </t>
    </r>
    <r>
      <rPr>
        <i/>
        <sz val="11"/>
        <rFont val="GHEA Grapalat"/>
        <family val="3"/>
      </rPr>
      <t>որից`</t>
    </r>
  </si>
  <si>
    <r>
      <t xml:space="preserve">Գրասենյակային նյութեր և հագուստ, </t>
    </r>
    <r>
      <rPr>
        <i/>
        <sz val="11"/>
        <rFont val="GHEA Grapalat"/>
        <family val="3"/>
      </rPr>
      <t>որից`</t>
    </r>
  </si>
  <si>
    <t>Սոցիալական բնույթ ունեցող և գնումներ չհանդիսացող ընթացիկ ծախսեր,   այդ թվում`</t>
  </si>
  <si>
    <t>Գնումների ընթացակարգով կատարվող ծախսեր,  այդ թվում`</t>
  </si>
  <si>
    <t>Մեկ աղբյուրից  կատարվող գնումներ, որից`</t>
  </si>
  <si>
    <r>
      <t xml:space="preserve">Տրանսպորտային նյութեր,  </t>
    </r>
    <r>
      <rPr>
        <i/>
        <sz val="11"/>
        <rFont val="GHEA Grapalat"/>
        <family val="3"/>
      </rPr>
      <t>որից`</t>
    </r>
  </si>
  <si>
    <t>Այլ վարձատրություններ</t>
  </si>
  <si>
    <t xml:space="preserve">Աշխատողների աշխատավարձեր և հավելավճարներ </t>
  </si>
  <si>
    <t xml:space="preserve">&lt;&lt;Հասարակական կարգի պահպանության ապահովում&gt;&gt; ծրագիր </t>
  </si>
  <si>
    <t>&lt;&lt;Պետական պահպանություն&gt;&gt; ծրագիր
(պետական բյուջեի միջոցների հաշվին հատուկ կարևորագույն օբյեկտների պետական պահպանություն. ՊՊԳՎ)</t>
  </si>
  <si>
    <t>&lt;&lt;ՀՀ քաղաքացու անձնագրերի բլանկների տպագրություն&gt;&gt; ծրագիր</t>
  </si>
  <si>
    <t>&lt;&lt;Պետավտոհամարանիշների ձեռքբերում&gt;&gt; ծրագիր</t>
  </si>
  <si>
    <t>&lt;&lt;Կենտրոնացված կարգով դեղորայքի ձեռքբերում&gt;&gt; ծրագիր</t>
  </si>
  <si>
    <t>&lt;&lt;Մասնագիտական կրթություն&gt;&gt; ծրագիր,    որից`</t>
  </si>
  <si>
    <t xml:space="preserve">Աճն ամբողջությամբ վերագրվում է աշխատանքի վարձատրության ֆոնդին: </t>
  </si>
  <si>
    <t xml:space="preserve">Ավելացումը կատարվել է 2014թ.-ի հունվարից հիմնական աշխատավարձերը 10%-ի չափով բարձրացնելու և 2014 թ.-ի 2-րդ կիսամյակից աշխատանքի վարձատրության նոր համակարգի ներդրումն ապահովելու համար: </t>
  </si>
  <si>
    <t>Նվազեցվել է պայմանավորված 2014թ.-ի 2-րդ կիսամյակից պարենի փոխհատուցման գումարները հիմնական աշխատավարձում ներառվելու հանգամանքով:</t>
  </si>
  <si>
    <r>
      <t>Նպաստներ, դրամաշնորհ</t>
    </r>
    <r>
      <rPr>
        <sz val="11"/>
        <rFont val="GHEA Grapalat"/>
        <family val="3"/>
      </rPr>
      <t>, հարկեր, պարտադիր այլ վճարներ, պետպահպանություն, հատուկ օպերատիվ ծախսեր, մարզական միջոցառումներ,   որից`</t>
    </r>
  </si>
  <si>
    <t>Ոչ ֆինանսական ակտիվների (հիմնական միջոցների) ձեռք բերում</t>
  </si>
  <si>
    <t xml:space="preserve">              (մլն. դրամ)</t>
  </si>
  <si>
    <t>Ծրագրերը և  ծախսերի հիմնական ուղղությունները</t>
  </si>
  <si>
    <t>Աճը պայմանավորված է ՀՀ հանրային ծառայությունները կարգավորող հանձնաժողովի  07.06.2013թ. թիվ 190-Ն որոշմամբ բնական գազի  եւ 07.06.2013թ. թիվ 192-Ն որոշմամբ`  էլեկտրական էներգիայի սակագների բարձրացմամբ:</t>
  </si>
  <si>
    <t>ՊՈԱԿ-ների ծառայություններ, ԱՊՊԱ, համակարգչային ծառայություններ, ներկայացուցչա -կան ծախսեր, շենքերի վարձակալություն, հատուկ նպատակային այլ նյութեր (հատուկ նպատակային միջոցներ,  մեդալներ, կրծքանշաններ, հուշանվերներ և այլն)</t>
  </si>
  <si>
    <t xml:space="preserve">Աճն ամբողջությամբ վերագրվում է աշխատավարձի ֆոնդին և ապահովում է 2014թ.-ի հունվարի 1-ից աշխատավարձերի  10%-ով բարձրացումը: </t>
  </si>
  <si>
    <t>Ընդամենը ոստիկանության ծախսային ծրագրեր</t>
  </si>
  <si>
    <t>ՀՀ ոստիկանության ֆինանսաբյուջետային վարչություն</t>
  </si>
  <si>
    <t xml:space="preserve">Ավելացումները ամբողջությամբ վերագրվում  են ոստիկանության ՊՈԱԿ-ների աշխատողների աշխատավարձերի (նվազագույն աշխատավարձի բարձրացման հետ կապված), ինչպես նաև  էլեկտրաէներգիայի եւ գազի սակագների բարձրացմամբ պայմանավորված լրացուցիչ ծախսերի ֆինանսավորմանը:                                                                                                                                                                                   </t>
  </si>
  <si>
    <t xml:space="preserve">ՀՀ  ոստիկանության  2014թ.-ի  բյուջեի կառուցվածքը </t>
  </si>
  <si>
    <t>2013թ. պլան</t>
  </si>
  <si>
    <t>2014թ.  պլան</t>
  </si>
  <si>
    <t>Արձակման նպաստների գծով  2014թ-ի աճը պայմանավորված է նախորդ տարիների փաստացի կատարողականներով: Այսպես.
2012-2013թթ.-ին պլանով նախատեսված 420,0-ական  մլն. դրամի դիմաց փաստացի ծախսը կազմել է 672,1 մլն. դրամ և   641,7 մլն. դրամ կամ պլանից, ըստ տարիների`  252,1 մլն. դրա-մով, 60 %-ով  և 221,7 մլն. դրամով, 52,8 %-ով ավելի: Նշված ծախսերի ֆինանսավորումը կատարվել է առանց լրացուցիչ միջոցներ ներգրավվելու`  ներքին հոդվածային վերաբաշխումներ կատարելու միջոցով::</t>
  </si>
  <si>
    <t>Տվյալ հատկացումները 2014թ.-ի բյուջեով չեն նախատեսվել  պայմանավորված կենսաչափական տվյալներով էլեկտրոնային անձնագրերը և նույնականացման քարտերը 2014թ.-ի հունվարի 1-ից պարտադիր կրառության մեջ դնելու և սովորական անձնագրերի բլանկների պահանջը վերանալու համգամանքով: Սակայն կատարված օրենսդրական փոփոխությամբ առանձին կատեգորիայի քաղաքացիների համար (16 տարեկաններ և այլն) այդ անձնագրերը թողնվեց  ուժի մեջ: Այժմ ծագել է 2014թ.-ի համար  150000 հատ սովորական անձնագրի բլանկների՝ 175,0 մլն. դրամ գումարով, ձեռք բերելու ահնրաժեշտություն:</t>
  </si>
  <si>
    <t>2014 թ.-ին նախատեսվում է 3500 դրամ/զույգ գնով ձեռք բերել 115 հազ. զույգ համարանիշ, որից 67485 զույգը, գումարով` 236,2 մլն. դրամ` բյուջետային, իսկ 47515 զույգը, գումարով` 166,3 մլն. դրամ ՃՈ արտաբյուջետային միջոցների հաշվին: 2013թ .-ի փաստացի իրացումը կազմել է 114994 զույգ: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</si>
</sst>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  <numFmt numFmtId="181" formatCode="0.0"/>
    <numFmt numFmtId="182" formatCode="0.0000"/>
    <numFmt numFmtId="183" formatCode="0.000"/>
    <numFmt numFmtId="184" formatCode="0.0%"/>
    <numFmt numFmtId="185" formatCode="0.000000"/>
    <numFmt numFmtId="186" formatCode="0.0000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"/>
    <numFmt numFmtId="193" formatCode="#,##0.000"/>
  </numFmts>
  <fonts count="46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80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6" fillId="0" borderId="0" xfId="0" applyNumberFormat="1" applyFont="1" applyAlignment="1">
      <alignment/>
    </xf>
    <xf numFmtId="181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0" fontId="4" fillId="0" borderId="10" xfId="0" applyNumberFormat="1" applyFont="1" applyFill="1" applyBorder="1" applyAlignment="1">
      <alignment vertical="center"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80" fontId="3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81" fontId="1" fillId="0" borderId="0" xfId="0" applyNumberFormat="1" applyFont="1" applyFill="1" applyBorder="1" applyAlignment="1">
      <alignment vertical="center" wrapText="1"/>
    </xf>
    <xf numFmtId="181" fontId="1" fillId="0" borderId="10" xfId="0" applyNumberFormat="1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181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1" fontId="1" fillId="0" borderId="10" xfId="0" applyNumberFormat="1" applyFont="1" applyFill="1" applyBorder="1" applyAlignment="1">
      <alignment vertical="center" wrapText="1"/>
    </xf>
    <xf numFmtId="181" fontId="1" fillId="0" borderId="10" xfId="0" applyNumberFormat="1" applyFont="1" applyBorder="1" applyAlignment="1">
      <alignment vertical="justify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80" fontId="6" fillId="0" borderId="0" xfId="0" applyNumberFormat="1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vertical="center" wrapText="1"/>
    </xf>
    <xf numFmtId="181" fontId="1" fillId="0" borderId="11" xfId="0" applyNumberFormat="1" applyFont="1" applyFill="1" applyBorder="1" applyAlignment="1">
      <alignment vertical="center" wrapText="1"/>
    </xf>
    <xf numFmtId="181" fontId="1" fillId="0" borderId="13" xfId="0" applyNumberFormat="1" applyFont="1" applyFill="1" applyBorder="1" applyAlignment="1">
      <alignment vertical="center" wrapText="1"/>
    </xf>
    <xf numFmtId="181" fontId="1" fillId="0" borderId="14" xfId="0" applyNumberFormat="1" applyFont="1" applyBorder="1" applyAlignment="1">
      <alignment vertical="center" wrapText="1"/>
    </xf>
    <xf numFmtId="181" fontId="1" fillId="0" borderId="15" xfId="0" applyNumberFormat="1" applyFont="1" applyBorder="1" applyAlignment="1">
      <alignment vertical="center" wrapText="1"/>
    </xf>
    <xf numFmtId="181" fontId="1" fillId="0" borderId="16" xfId="0" applyNumberFormat="1" applyFont="1" applyBorder="1" applyAlignment="1">
      <alignment vertical="center" wrapText="1"/>
    </xf>
    <xf numFmtId="181" fontId="1" fillId="0" borderId="17" xfId="0" applyNumberFormat="1" applyFont="1" applyBorder="1" applyAlignment="1">
      <alignment vertical="center" wrapText="1"/>
    </xf>
    <xf numFmtId="181" fontId="1" fillId="0" borderId="0" xfId="0" applyNumberFormat="1" applyFont="1" applyBorder="1" applyAlignment="1">
      <alignment vertical="center" wrapText="1"/>
    </xf>
    <xf numFmtId="181" fontId="1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left" vertical="center" wrapText="1"/>
    </xf>
    <xf numFmtId="181" fontId="1" fillId="0" borderId="11" xfId="0" applyNumberFormat="1" applyFont="1" applyBorder="1" applyAlignment="1">
      <alignment horizontal="left" vertical="center" wrapText="1"/>
    </xf>
    <xf numFmtId="181" fontId="1" fillId="0" borderId="13" xfId="0" applyNumberFormat="1" applyFont="1" applyBorder="1" applyAlignment="1">
      <alignment horizontal="left" vertical="center" wrapText="1"/>
    </xf>
    <xf numFmtId="181" fontId="1" fillId="0" borderId="14" xfId="0" applyNumberFormat="1" applyFont="1" applyBorder="1" applyAlignment="1">
      <alignment horizontal="left" vertical="center" wrapText="1"/>
    </xf>
    <xf numFmtId="181" fontId="1" fillId="0" borderId="15" xfId="0" applyNumberFormat="1" applyFont="1" applyBorder="1" applyAlignment="1">
      <alignment horizontal="left" vertical="center" wrapText="1"/>
    </xf>
    <xf numFmtId="181" fontId="1" fillId="0" borderId="16" xfId="0" applyNumberFormat="1" applyFont="1" applyBorder="1" applyAlignment="1">
      <alignment horizontal="left" vertical="center" wrapText="1"/>
    </xf>
    <xf numFmtId="181" fontId="1" fillId="0" borderId="21" xfId="0" applyNumberFormat="1" applyFont="1" applyBorder="1" applyAlignment="1">
      <alignment horizontal="left" vertical="center" wrapText="1"/>
    </xf>
    <xf numFmtId="181" fontId="1" fillId="0" borderId="22" xfId="0" applyNumberFormat="1" applyFont="1" applyBorder="1" applyAlignment="1">
      <alignment horizontal="left" vertical="center" wrapText="1"/>
    </xf>
    <xf numFmtId="181" fontId="1" fillId="0" borderId="2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wrapText="1"/>
    </xf>
    <xf numFmtId="181" fontId="1" fillId="0" borderId="10" xfId="0" applyNumberFormat="1" applyFont="1" applyFill="1" applyBorder="1" applyAlignment="1">
      <alignment horizontal="left" vertical="center" wrapText="1"/>
    </xf>
    <xf numFmtId="181" fontId="1" fillId="0" borderId="12" xfId="0" applyNumberFormat="1" applyFont="1" applyFill="1" applyBorder="1" applyAlignment="1">
      <alignment horizontal="left" vertical="center" wrapText="1"/>
    </xf>
    <xf numFmtId="181" fontId="1" fillId="0" borderId="11" xfId="0" applyNumberFormat="1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0" zoomScaleNormal="90" zoomScalePageLayoutView="0" workbookViewId="0" topLeftCell="A1">
      <selection activeCell="I39" sqref="I39"/>
    </sheetView>
  </sheetViews>
  <sheetFormatPr defaultColWidth="9.140625" defaultRowHeight="12.75"/>
  <cols>
    <col min="1" max="1" width="5.57421875" style="1" customWidth="1"/>
    <col min="2" max="2" width="37.7109375" style="1" customWidth="1"/>
    <col min="3" max="3" width="10.8515625" style="1" customWidth="1"/>
    <col min="4" max="4" width="8.57421875" style="1" customWidth="1"/>
    <col min="5" max="5" width="11.8515625" style="1" customWidth="1"/>
    <col min="6" max="6" width="8.8515625" style="1" customWidth="1"/>
    <col min="7" max="7" width="10.140625" style="1" bestFit="1" customWidth="1"/>
    <col min="8" max="8" width="8.140625" style="1" customWidth="1"/>
    <col min="9" max="10" width="9.140625" style="1" customWidth="1"/>
    <col min="11" max="11" width="11.00390625" style="1" hidden="1" customWidth="1"/>
    <col min="12" max="12" width="0" style="1" hidden="1" customWidth="1"/>
    <col min="13" max="13" width="5.28125" style="1" hidden="1" customWidth="1"/>
    <col min="14" max="14" width="11.421875" style="1" hidden="1" customWidth="1"/>
    <col min="15" max="15" width="9.140625" style="1" customWidth="1"/>
    <col min="16" max="16" width="16.7109375" style="1" customWidth="1"/>
    <col min="17" max="16384" width="9.140625" style="1" customWidth="1"/>
  </cols>
  <sheetData>
    <row r="1" spans="1:16" ht="20.25" customHeight="1">
      <c r="A1" s="56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6:7" ht="16.5">
      <c r="F2" s="28" t="s">
        <v>58</v>
      </c>
      <c r="G2" s="54"/>
    </row>
    <row r="3" spans="1:16" ht="38.25" customHeight="1">
      <c r="A3" s="68" t="s">
        <v>28</v>
      </c>
      <c r="B3" s="68" t="s">
        <v>59</v>
      </c>
      <c r="C3" s="68" t="s">
        <v>67</v>
      </c>
      <c r="D3" s="85" t="s">
        <v>3</v>
      </c>
      <c r="E3" s="68" t="s">
        <v>68</v>
      </c>
      <c r="F3" s="85" t="s">
        <v>3</v>
      </c>
      <c r="G3" s="87" t="s">
        <v>32</v>
      </c>
      <c r="H3" s="88"/>
      <c r="I3" s="79" t="s">
        <v>37</v>
      </c>
      <c r="J3" s="80"/>
      <c r="K3" s="80"/>
      <c r="L3" s="80"/>
      <c r="M3" s="80"/>
      <c r="N3" s="80"/>
      <c r="O3" s="80"/>
      <c r="P3" s="81"/>
    </row>
    <row r="4" spans="1:16" ht="36" customHeight="1">
      <c r="A4" s="69"/>
      <c r="B4" s="69"/>
      <c r="C4" s="69"/>
      <c r="D4" s="86"/>
      <c r="E4" s="69"/>
      <c r="F4" s="86"/>
      <c r="G4" s="19" t="s">
        <v>36</v>
      </c>
      <c r="H4" s="19" t="s">
        <v>33</v>
      </c>
      <c r="I4" s="82"/>
      <c r="J4" s="83"/>
      <c r="K4" s="83"/>
      <c r="L4" s="83"/>
      <c r="M4" s="83"/>
      <c r="N4" s="83"/>
      <c r="O4" s="83"/>
      <c r="P4" s="84"/>
    </row>
    <row r="5" spans="1:16" ht="49.5" customHeight="1">
      <c r="A5" s="7" t="s">
        <v>0</v>
      </c>
      <c r="B5" s="2" t="s">
        <v>47</v>
      </c>
      <c r="C5" s="9">
        <f>C6+C13</f>
        <v>27786.595899999997</v>
      </c>
      <c r="D5" s="9">
        <f>D6+D13</f>
        <v>100</v>
      </c>
      <c r="E5" s="9">
        <f>E6+E13</f>
        <v>31602.452599999997</v>
      </c>
      <c r="F5" s="9">
        <f>F6+F13</f>
        <v>99.99999999999999</v>
      </c>
      <c r="G5" s="9">
        <f aca="true" t="shared" si="0" ref="G5:G11">E5-C5</f>
        <v>3815.8567000000003</v>
      </c>
      <c r="H5" s="9">
        <f aca="true" t="shared" si="1" ref="H5:H11">E5/C5%-100</f>
        <v>13.732724633606523</v>
      </c>
      <c r="I5" s="73" t="s">
        <v>53</v>
      </c>
      <c r="J5" s="74"/>
      <c r="K5" s="74"/>
      <c r="L5" s="74"/>
      <c r="M5" s="74"/>
      <c r="N5" s="74"/>
      <c r="O5" s="74"/>
      <c r="P5" s="75"/>
    </row>
    <row r="6" spans="1:16" ht="49.5">
      <c r="A6" s="14">
        <v>1</v>
      </c>
      <c r="B6" s="18" t="s">
        <v>41</v>
      </c>
      <c r="C6" s="10">
        <f>C7+C8+C9+C11</f>
        <v>24408.977999999996</v>
      </c>
      <c r="D6" s="10">
        <f>C6/C5%</f>
        <v>87.84443437348149</v>
      </c>
      <c r="E6" s="10">
        <f>E7+E8+E9+E11</f>
        <v>28048.378999999997</v>
      </c>
      <c r="F6" s="10">
        <f>E6/E5%</f>
        <v>88.75380450693247</v>
      </c>
      <c r="G6" s="10">
        <f t="shared" si="0"/>
        <v>3639.4010000000017</v>
      </c>
      <c r="H6" s="9">
        <f t="shared" si="1"/>
        <v>14.910091688394331</v>
      </c>
      <c r="I6" s="76"/>
      <c r="J6" s="77"/>
      <c r="K6" s="77"/>
      <c r="L6" s="77"/>
      <c r="M6" s="77"/>
      <c r="N6" s="77"/>
      <c r="O6" s="77"/>
      <c r="P6" s="78"/>
    </row>
    <row r="7" spans="1:16" ht="77.25" customHeight="1">
      <c r="A7" s="15">
        <v>1.1</v>
      </c>
      <c r="B7" s="12" t="s">
        <v>46</v>
      </c>
      <c r="C7" s="11">
        <f>(22182201.2+1158188.7-1158188.7)/1000-54.5+54.5</f>
        <v>22182.2012</v>
      </c>
      <c r="D7" s="11">
        <f>C7/C5%</f>
        <v>79.83058191017922</v>
      </c>
      <c r="E7" s="11">
        <f>(26159760.7+613328.7-613328.7)/1000-68.5+68.5</f>
        <v>26159.7607</v>
      </c>
      <c r="F7" s="11">
        <f>E7/E5%</f>
        <v>82.77762815155683</v>
      </c>
      <c r="G7" s="11">
        <f t="shared" si="0"/>
        <v>3977.5594999999994</v>
      </c>
      <c r="H7" s="11">
        <f t="shared" si="1"/>
        <v>17.931311072951587</v>
      </c>
      <c r="I7" s="70" t="s">
        <v>54</v>
      </c>
      <c r="J7" s="71"/>
      <c r="K7" s="71"/>
      <c r="L7" s="71"/>
      <c r="M7" s="71"/>
      <c r="N7" s="71"/>
      <c r="O7" s="71"/>
      <c r="P7" s="72"/>
    </row>
    <row r="8" spans="1:16" ht="59.25" customHeight="1">
      <c r="A8" s="15">
        <v>1.2</v>
      </c>
      <c r="B8" s="12" t="s">
        <v>45</v>
      </c>
      <c r="C8" s="11">
        <f>(1158188.7)/1000-54.5</f>
        <v>1103.6887</v>
      </c>
      <c r="D8" s="11">
        <f>C8/C6%</f>
        <v>4.5216505992180425</v>
      </c>
      <c r="E8" s="11">
        <f>(613328.7)/1000-68.5</f>
        <v>544.8286999999999</v>
      </c>
      <c r="F8" s="11">
        <f>E8/E6%</f>
        <v>1.9424605607332956</v>
      </c>
      <c r="G8" s="11">
        <f t="shared" si="0"/>
        <v>-558.86</v>
      </c>
      <c r="H8" s="11">
        <f t="shared" si="1"/>
        <v>-50.63565478200512</v>
      </c>
      <c r="I8" s="70" t="s">
        <v>55</v>
      </c>
      <c r="J8" s="71"/>
      <c r="K8" s="71"/>
      <c r="L8" s="71"/>
      <c r="M8" s="71"/>
      <c r="N8" s="71"/>
      <c r="O8" s="71"/>
      <c r="P8" s="72"/>
    </row>
    <row r="9" spans="1:17" ht="121.5" customHeight="1">
      <c r="A9" s="15">
        <v>1.3</v>
      </c>
      <c r="B9" s="12" t="s">
        <v>56</v>
      </c>
      <c r="C9" s="11">
        <f>(19332+39134.2+1420.8+11210.9+1036.5+14936.2+12500+11000+430164.7+2100+4000+11538+151139+9475.8)/1000+54.5</f>
        <v>773.4881000000001</v>
      </c>
      <c r="D9" s="11">
        <f>C9/C5%</f>
        <v>2.783673476174173</v>
      </c>
      <c r="E9" s="11">
        <f>(39134.2+1420.8+11210.9+1075.6+14936.2+12500+11000+649834.1+2100+4000+17863+151019+9595.8)/1000+68.5</f>
        <v>994.1895999999999</v>
      </c>
      <c r="F9" s="11">
        <f>E9/E5%</f>
        <v>3.145925452634015</v>
      </c>
      <c r="G9" s="11">
        <f t="shared" si="0"/>
        <v>220.70149999999978</v>
      </c>
      <c r="H9" s="11">
        <f t="shared" si="1"/>
        <v>28.533276723972847</v>
      </c>
      <c r="I9" s="62" t="s">
        <v>69</v>
      </c>
      <c r="J9" s="63"/>
      <c r="K9" s="63"/>
      <c r="L9" s="63"/>
      <c r="M9" s="63"/>
      <c r="N9" s="63"/>
      <c r="O9" s="63"/>
      <c r="P9" s="64"/>
      <c r="Q9" s="24"/>
    </row>
    <row r="10" spans="1:17" ht="71.25" customHeight="1">
      <c r="A10" s="15"/>
      <c r="B10" s="21" t="s">
        <v>4</v>
      </c>
      <c r="C10" s="11">
        <f>420000/1000</f>
        <v>420</v>
      </c>
      <c r="D10" s="11">
        <f>C10/C5%</f>
        <v>1.511520164296196</v>
      </c>
      <c r="E10" s="11">
        <f>620337.4/1000</f>
        <v>620.3374</v>
      </c>
      <c r="F10" s="11">
        <f>E10/E5%</f>
        <v>1.96294068644533</v>
      </c>
      <c r="G10" s="11">
        <f t="shared" si="0"/>
        <v>200.3374</v>
      </c>
      <c r="H10" s="11">
        <f t="shared" si="1"/>
        <v>47.69938095238095</v>
      </c>
      <c r="I10" s="65"/>
      <c r="J10" s="66"/>
      <c r="K10" s="66"/>
      <c r="L10" s="66"/>
      <c r="M10" s="66"/>
      <c r="N10" s="66"/>
      <c r="O10" s="66"/>
      <c r="P10" s="67"/>
      <c r="Q10" s="24"/>
    </row>
    <row r="11" spans="1:17" ht="16.5">
      <c r="A11" s="15">
        <v>1.4</v>
      </c>
      <c r="B11" s="5" t="s">
        <v>5</v>
      </c>
      <c r="C11" s="11">
        <f>(159000+190600)/1000</f>
        <v>349.6</v>
      </c>
      <c r="D11" s="11">
        <f>C11/C5%</f>
        <v>1.2581605938998812</v>
      </c>
      <c r="E11" s="11">
        <f>(159000+190600)/1000</f>
        <v>349.6</v>
      </c>
      <c r="F11" s="11">
        <f>E11/E5%</f>
        <v>1.1062432540441498</v>
      </c>
      <c r="G11" s="11">
        <f t="shared" si="0"/>
        <v>0</v>
      </c>
      <c r="H11" s="11">
        <f t="shared" si="1"/>
        <v>0</v>
      </c>
      <c r="I11" s="40"/>
      <c r="J11" s="41"/>
      <c r="K11" s="45">
        <f>(179335.8+168574.3)/1000</f>
        <v>347.9101</v>
      </c>
      <c r="L11" s="40">
        <f>C11-K11</f>
        <v>1.6899000000000228</v>
      </c>
      <c r="M11" s="43"/>
      <c r="N11" s="43"/>
      <c r="O11" s="43"/>
      <c r="P11" s="43"/>
      <c r="Q11" s="25"/>
    </row>
    <row r="12" spans="1:16" ht="16.5">
      <c r="A12" s="52"/>
      <c r="B12" s="38"/>
      <c r="C12" s="35"/>
      <c r="D12" s="35"/>
      <c r="E12" s="35"/>
      <c r="F12" s="35"/>
      <c r="G12" s="35"/>
      <c r="H12" s="35"/>
      <c r="I12" s="36"/>
      <c r="J12" s="30"/>
      <c r="K12" s="31"/>
      <c r="L12" s="36"/>
      <c r="M12" s="32"/>
      <c r="N12" s="32"/>
      <c r="O12" s="32"/>
      <c r="P12" s="32"/>
    </row>
    <row r="13" spans="1:16" ht="33">
      <c r="A13" s="14">
        <v>2</v>
      </c>
      <c r="B13" s="18" t="s">
        <v>42</v>
      </c>
      <c r="C13" s="10">
        <f>C14+C17</f>
        <v>3377.6179</v>
      </c>
      <c r="D13" s="10">
        <f>C13/C5%</f>
        <v>12.155565626518506</v>
      </c>
      <c r="E13" s="10">
        <f>E14+E17</f>
        <v>3554.0736</v>
      </c>
      <c r="F13" s="10">
        <f>E13/E5%</f>
        <v>11.246195493067523</v>
      </c>
      <c r="G13" s="10">
        <f aca="true" t="shared" si="2" ref="G13:G27">E13-C13</f>
        <v>176.45569999999998</v>
      </c>
      <c r="H13" s="9">
        <f aca="true" t="shared" si="3" ref="H13:H26">E13/C13%-100</f>
        <v>5.224264710345125</v>
      </c>
      <c r="I13" s="46"/>
      <c r="J13" s="41"/>
      <c r="K13" s="47" t="e">
        <f>K14+J62</f>
        <v>#VALUE!</v>
      </c>
      <c r="L13" s="48" t="e">
        <f>C13-K13</f>
        <v>#VALUE!</v>
      </c>
      <c r="M13" s="43"/>
      <c r="N13" s="43"/>
      <c r="O13" s="43"/>
      <c r="P13" s="43"/>
    </row>
    <row r="14" spans="1:16" ht="33">
      <c r="A14" s="15">
        <v>2.1</v>
      </c>
      <c r="B14" s="13" t="s">
        <v>43</v>
      </c>
      <c r="C14" s="9">
        <f>C15+C16</f>
        <v>1397.6381</v>
      </c>
      <c r="D14" s="9">
        <f>C14/C5%</f>
        <v>5.02990040604434</v>
      </c>
      <c r="E14" s="9">
        <f>E15+E16</f>
        <v>1583.8549000000003</v>
      </c>
      <c r="F14" s="9">
        <f>E14/E5%</f>
        <v>5.011810064387219</v>
      </c>
      <c r="G14" s="9">
        <f t="shared" si="2"/>
        <v>186.21680000000038</v>
      </c>
      <c r="H14" s="9">
        <f t="shared" si="3"/>
        <v>13.32367799647136</v>
      </c>
      <c r="I14" s="40"/>
      <c r="J14" s="41"/>
      <c r="K14" s="47" t="e">
        <f>I15+I16</f>
        <v>#VALUE!</v>
      </c>
      <c r="L14" s="48" t="e">
        <f>C14-K14</f>
        <v>#VALUE!</v>
      </c>
      <c r="M14" s="43"/>
      <c r="N14" s="43"/>
      <c r="O14" s="43"/>
      <c r="P14" s="43"/>
    </row>
    <row r="15" spans="1:16" ht="84.75" customHeight="1">
      <c r="A15" s="15" t="s">
        <v>8</v>
      </c>
      <c r="B15" s="12" t="s">
        <v>6</v>
      </c>
      <c r="C15" s="11">
        <f>(628446.6+76977.9+401930)/1000</f>
        <v>1107.3545</v>
      </c>
      <c r="D15" s="11">
        <f>C15/C5%</f>
        <v>3.985211085176504</v>
      </c>
      <c r="E15" s="11">
        <f>(804409.8+76515.9+401930)/1000</f>
        <v>1282.8557000000003</v>
      </c>
      <c r="F15" s="11">
        <f>E15/E5%</f>
        <v>4.0593548742479575</v>
      </c>
      <c r="G15" s="11">
        <f t="shared" si="2"/>
        <v>175.50120000000038</v>
      </c>
      <c r="H15" s="11">
        <f t="shared" si="3"/>
        <v>15.84869163397994</v>
      </c>
      <c r="I15" s="59" t="s">
        <v>60</v>
      </c>
      <c r="J15" s="60"/>
      <c r="K15" s="60"/>
      <c r="L15" s="60"/>
      <c r="M15" s="60"/>
      <c r="N15" s="60"/>
      <c r="O15" s="60"/>
      <c r="P15" s="61"/>
    </row>
    <row r="16" spans="1:16" ht="150" customHeight="1">
      <c r="A16" s="15" t="s">
        <v>9</v>
      </c>
      <c r="B16" s="12" t="s">
        <v>61</v>
      </c>
      <c r="C16" s="11">
        <f>(59832+15453.1+15815+10428+20000+22875.8+19619.7+600+26000+20260+14400+65000)/1000</f>
        <v>290.2836</v>
      </c>
      <c r="D16" s="11">
        <f>C16/C5%</f>
        <v>1.044689320867836</v>
      </c>
      <c r="E16" s="11">
        <f>(59832+15453.1+15815+8928+20000+30000+24711.1+600+26000+20260+14400+65000)/1000</f>
        <v>300.99920000000003</v>
      </c>
      <c r="F16" s="11">
        <f>E16/E5%</f>
        <v>0.9524551901392617</v>
      </c>
      <c r="G16" s="11">
        <f t="shared" si="2"/>
        <v>10.715600000000052</v>
      </c>
      <c r="H16" s="11">
        <f t="shared" si="3"/>
        <v>3.6914245241550248</v>
      </c>
      <c r="I16" s="92" t="s">
        <v>65</v>
      </c>
      <c r="J16" s="93"/>
      <c r="K16" s="93"/>
      <c r="L16" s="93"/>
      <c r="M16" s="93"/>
      <c r="N16" s="93"/>
      <c r="O16" s="93"/>
      <c r="P16" s="94"/>
    </row>
    <row r="17" spans="1:16" ht="33" customHeight="1">
      <c r="A17" s="15">
        <v>2.2</v>
      </c>
      <c r="B17" s="13" t="s">
        <v>7</v>
      </c>
      <c r="C17" s="9">
        <f>C18+C20+C22+C24+C27</f>
        <v>1979.9798</v>
      </c>
      <c r="D17" s="9">
        <f>C17/C5%</f>
        <v>7.125665220474165</v>
      </c>
      <c r="E17" s="9">
        <f>E18+E20+E22+E24+E27</f>
        <v>1970.2187</v>
      </c>
      <c r="F17" s="9">
        <f>E17/E5%</f>
        <v>6.234385428680304</v>
      </c>
      <c r="G17" s="9">
        <f t="shared" si="2"/>
        <v>-9.76110000000017</v>
      </c>
      <c r="H17" s="9">
        <f t="shared" si="3"/>
        <v>-0.4929898779775499</v>
      </c>
      <c r="I17" s="49"/>
      <c r="J17" s="49"/>
      <c r="K17" s="49"/>
      <c r="L17" s="49"/>
      <c r="M17" s="49"/>
      <c r="N17" s="49"/>
      <c r="O17" s="49"/>
      <c r="P17" s="49"/>
    </row>
    <row r="18" spans="1:16" ht="18" customHeight="1">
      <c r="A18" s="15" t="s">
        <v>10</v>
      </c>
      <c r="B18" s="12" t="s">
        <v>44</v>
      </c>
      <c r="C18" s="11">
        <f>1141047.9/1000</f>
        <v>1141.0478999999998</v>
      </c>
      <c r="D18" s="11">
        <f>C18/C5%</f>
        <v>4.106468831613879</v>
      </c>
      <c r="E18" s="11">
        <f>1141047.9/1000</f>
        <v>1141.0478999999998</v>
      </c>
      <c r="F18" s="11">
        <f>E18/E5%</f>
        <v>3.61063084072152</v>
      </c>
      <c r="G18" s="11">
        <f t="shared" si="2"/>
        <v>0</v>
      </c>
      <c r="H18" s="11">
        <f t="shared" si="3"/>
        <v>0</v>
      </c>
      <c r="I18" s="49"/>
      <c r="J18" s="49"/>
      <c r="K18" s="49"/>
      <c r="L18" s="49"/>
      <c r="M18" s="49"/>
      <c r="N18" s="49"/>
      <c r="O18" s="49"/>
      <c r="P18" s="49"/>
    </row>
    <row r="19" spans="1:16" ht="18" customHeight="1">
      <c r="A19" s="15"/>
      <c r="B19" s="6" t="s">
        <v>15</v>
      </c>
      <c r="C19" s="11">
        <f>1067635.4/1000</f>
        <v>1067.6354</v>
      </c>
      <c r="D19" s="11">
        <f>C19/C5%</f>
        <v>3.842267702896273</v>
      </c>
      <c r="E19" s="11">
        <f>1064498.2/1000</f>
        <v>1064.4982</v>
      </c>
      <c r="F19" s="11">
        <f>E19/E5%</f>
        <v>3.3684037548402177</v>
      </c>
      <c r="G19" s="11">
        <f t="shared" si="2"/>
        <v>-3.1371999999998934</v>
      </c>
      <c r="H19" s="11">
        <f t="shared" si="3"/>
        <v>-0.29384563306909683</v>
      </c>
      <c r="I19" s="49"/>
      <c r="J19" s="49"/>
      <c r="K19" s="49"/>
      <c r="L19" s="49"/>
      <c r="M19" s="49"/>
      <c r="N19" s="49"/>
      <c r="O19" s="49"/>
      <c r="P19" s="49"/>
    </row>
    <row r="20" spans="1:16" ht="33">
      <c r="A20" s="15" t="s">
        <v>11</v>
      </c>
      <c r="B20" s="12" t="s">
        <v>40</v>
      </c>
      <c r="C20" s="11">
        <f>568353.1/1000</f>
        <v>568.3530999999999</v>
      </c>
      <c r="D20" s="11">
        <f>C20/C5%</f>
        <v>2.045421835929172</v>
      </c>
      <c r="E20" s="11">
        <f>568353.1/1000</f>
        <v>568.3530999999999</v>
      </c>
      <c r="F20" s="11">
        <f>E20/E5%</f>
        <v>1.798446175028833</v>
      </c>
      <c r="G20" s="11">
        <f t="shared" si="2"/>
        <v>0</v>
      </c>
      <c r="H20" s="11">
        <f t="shared" si="3"/>
        <v>0</v>
      </c>
      <c r="I20" s="49"/>
      <c r="J20" s="49"/>
      <c r="K20" s="49"/>
      <c r="L20" s="49"/>
      <c r="M20" s="49"/>
      <c r="N20" s="49"/>
      <c r="O20" s="49"/>
      <c r="P20" s="49"/>
    </row>
    <row r="21" spans="1:16" ht="18" customHeight="1">
      <c r="A21" s="15"/>
      <c r="B21" s="6" t="s">
        <v>16</v>
      </c>
      <c r="C21" s="11">
        <f>484600.7/1000</f>
        <v>484.6007</v>
      </c>
      <c r="D21" s="11">
        <f>C21/C5%</f>
        <v>1.7440088801953608</v>
      </c>
      <c r="E21" s="11">
        <f>484600.7/1000</f>
        <v>484.6007</v>
      </c>
      <c r="F21" s="11">
        <f>E21/E5%</f>
        <v>1.5334275036615357</v>
      </c>
      <c r="G21" s="11">
        <f t="shared" si="2"/>
        <v>0</v>
      </c>
      <c r="H21" s="11">
        <f t="shared" si="3"/>
        <v>0</v>
      </c>
      <c r="I21" s="49"/>
      <c r="J21" s="49"/>
      <c r="K21" s="49"/>
      <c r="L21" s="49"/>
      <c r="M21" s="49"/>
      <c r="N21" s="49"/>
      <c r="O21" s="49"/>
      <c r="P21" s="49"/>
    </row>
    <row r="22" spans="1:16" ht="59.25" customHeight="1">
      <c r="A22" s="15" t="s">
        <v>12</v>
      </c>
      <c r="B22" s="12" t="s">
        <v>39</v>
      </c>
      <c r="C22" s="11">
        <f>175939.8/1000</f>
        <v>175.9398</v>
      </c>
      <c r="D22" s="11">
        <f>C22/C5%</f>
        <v>0.6331822747672377</v>
      </c>
      <c r="E22" s="11">
        <f>164678.7/1000</f>
        <v>164.67870000000002</v>
      </c>
      <c r="F22" s="11">
        <f>E22/E5%</f>
        <v>0.5210946823791772</v>
      </c>
      <c r="G22" s="11">
        <f t="shared" si="2"/>
        <v>-11.26109999999997</v>
      </c>
      <c r="H22" s="11">
        <f t="shared" si="3"/>
        <v>-6.400541548870677</v>
      </c>
      <c r="I22" s="49"/>
      <c r="J22" s="49"/>
      <c r="K22" s="49"/>
      <c r="L22" s="49"/>
      <c r="M22" s="49"/>
      <c r="N22" s="49"/>
      <c r="O22" s="49"/>
      <c r="P22" s="49"/>
    </row>
    <row r="23" spans="1:16" ht="81" customHeight="1">
      <c r="A23" s="15"/>
      <c r="B23" s="21" t="s">
        <v>19</v>
      </c>
      <c r="C23" s="17">
        <f>154541.4/1000</f>
        <v>154.54139999999998</v>
      </c>
      <c r="D23" s="11">
        <f>C23/C5%</f>
        <v>0.5561724817108669</v>
      </c>
      <c r="E23" s="17">
        <f>143280.3/1000</f>
        <v>143.28029999999998</v>
      </c>
      <c r="F23" s="11">
        <f>E23/E5%</f>
        <v>0.453383482014937</v>
      </c>
      <c r="G23" s="11">
        <f t="shared" si="2"/>
        <v>-11.261099999999999</v>
      </c>
      <c r="H23" s="11">
        <f t="shared" si="3"/>
        <v>-7.286785288602275</v>
      </c>
      <c r="I23" s="49"/>
      <c r="J23" s="49"/>
      <c r="K23" s="49"/>
      <c r="L23" s="49"/>
      <c r="M23" s="49"/>
      <c r="N23" s="49"/>
      <c r="O23" s="49"/>
      <c r="P23" s="49"/>
    </row>
    <row r="24" spans="1:16" ht="66">
      <c r="A24" s="15" t="s">
        <v>13</v>
      </c>
      <c r="B24" s="12" t="s">
        <v>38</v>
      </c>
      <c r="C24" s="11">
        <f>(13920+500+8081.5+665+10506.3+1100+1000+5000+31036.9+10900+7929.3+4000)/1000</f>
        <v>94.63900000000001</v>
      </c>
      <c r="D24" s="11">
        <f>C24/C5%</f>
        <v>0.3405922781638755</v>
      </c>
      <c r="E24" s="11">
        <f>(13920+2000+8081.5+665+10506.3+1100+1000+5000+31036.9+10900+7929.3+4000)/1000</f>
        <v>96.13900000000001</v>
      </c>
      <c r="F24" s="11">
        <f>E24/E5%</f>
        <v>0.30421373055077383</v>
      </c>
      <c r="G24" s="11">
        <f t="shared" si="2"/>
        <v>1.5</v>
      </c>
      <c r="H24" s="11">
        <f t="shared" si="3"/>
        <v>1.5849702553915392</v>
      </c>
      <c r="I24" s="50"/>
      <c r="J24" s="50"/>
      <c r="K24" s="50"/>
      <c r="L24" s="50"/>
      <c r="M24" s="50"/>
      <c r="N24" s="50"/>
      <c r="O24" s="50"/>
      <c r="P24" s="50"/>
    </row>
    <row r="25" spans="1:16" ht="33">
      <c r="A25" s="15"/>
      <c r="B25" s="6" t="s">
        <v>17</v>
      </c>
      <c r="C25" s="11">
        <f>5000/1000</f>
        <v>5</v>
      </c>
      <c r="D25" s="11">
        <f>C25/C5%</f>
        <v>0.01799428767019281</v>
      </c>
      <c r="E25" s="11">
        <f>5000/1000</f>
        <v>5</v>
      </c>
      <c r="F25" s="11">
        <f>E25/E5%</f>
        <v>0.015821556837015874</v>
      </c>
      <c r="G25" s="11">
        <f t="shared" si="2"/>
        <v>0</v>
      </c>
      <c r="H25" s="11">
        <f t="shared" si="3"/>
        <v>0</v>
      </c>
      <c r="I25" s="50"/>
      <c r="J25" s="50"/>
      <c r="K25" s="50"/>
      <c r="L25" s="50"/>
      <c r="M25" s="50"/>
      <c r="N25" s="50"/>
      <c r="O25" s="50"/>
      <c r="P25" s="50"/>
    </row>
    <row r="26" spans="1:16" ht="33">
      <c r="A26" s="15"/>
      <c r="B26" s="6" t="s">
        <v>18</v>
      </c>
      <c r="C26" s="11">
        <f>31036.9/1000</f>
        <v>31.036900000000003</v>
      </c>
      <c r="D26" s="11">
        <f>C26/C5%</f>
        <v>0.11169738139820144</v>
      </c>
      <c r="E26" s="11">
        <f>31036.9/1000</f>
        <v>31.036900000000003</v>
      </c>
      <c r="F26" s="11">
        <f>E26/E5%</f>
        <v>0.09821041547895559</v>
      </c>
      <c r="G26" s="11">
        <f t="shared" si="2"/>
        <v>0</v>
      </c>
      <c r="H26" s="11">
        <f t="shared" si="3"/>
        <v>0</v>
      </c>
      <c r="I26" s="50"/>
      <c r="J26" s="50"/>
      <c r="K26" s="50"/>
      <c r="L26" s="50"/>
      <c r="M26" s="50"/>
      <c r="N26" s="50"/>
      <c r="O26" s="50"/>
      <c r="P26" s="50"/>
    </row>
    <row r="27" spans="1:16" ht="39.75" customHeight="1">
      <c r="A27" s="16" t="s">
        <v>14</v>
      </c>
      <c r="B27" s="13" t="s">
        <v>57</v>
      </c>
      <c r="C27" s="9">
        <v>0</v>
      </c>
      <c r="D27" s="9">
        <f>C27/C5%</f>
        <v>0</v>
      </c>
      <c r="E27" s="9">
        <v>0</v>
      </c>
      <c r="F27" s="9">
        <v>0</v>
      </c>
      <c r="G27" s="9">
        <f t="shared" si="2"/>
        <v>0</v>
      </c>
      <c r="H27" s="22" t="s">
        <v>35</v>
      </c>
      <c r="I27" s="40"/>
      <c r="J27" s="41"/>
      <c r="K27" s="45">
        <f>186425.3/1000</f>
        <v>186.4253</v>
      </c>
      <c r="L27" s="40">
        <f>C27-K27</f>
        <v>-186.4253</v>
      </c>
      <c r="M27" s="43"/>
      <c r="N27" s="43"/>
      <c r="O27" s="43"/>
      <c r="P27" s="43"/>
    </row>
    <row r="28" spans="1:16" ht="16.5">
      <c r="A28" s="52"/>
      <c r="B28" s="38"/>
      <c r="C28" s="35"/>
      <c r="D28" s="35"/>
      <c r="E28" s="35"/>
      <c r="F28" s="35"/>
      <c r="G28" s="35"/>
      <c r="H28" s="35"/>
      <c r="I28" s="36"/>
      <c r="J28" s="30"/>
      <c r="K28" s="31"/>
      <c r="L28" s="31"/>
      <c r="M28" s="32"/>
      <c r="N28" s="32"/>
      <c r="O28" s="32"/>
      <c r="P28" s="32"/>
    </row>
    <row r="29" spans="1:16" ht="104.25" customHeight="1">
      <c r="A29" s="16" t="s">
        <v>1</v>
      </c>
      <c r="B29" s="13" t="s">
        <v>48</v>
      </c>
      <c r="C29" s="9">
        <f>C30+C31+C32+C33+C34</f>
        <v>1362.2422000000001</v>
      </c>
      <c r="D29" s="9"/>
      <c r="E29" s="9">
        <f>E30+E31+E32+E33+E34</f>
        <v>1482.3589000000002</v>
      </c>
      <c r="F29" s="9"/>
      <c r="G29" s="9">
        <f aca="true" t="shared" si="4" ref="G29:G34">E29-C29</f>
        <v>120.11670000000004</v>
      </c>
      <c r="H29" s="9">
        <f aca="true" t="shared" si="5" ref="H29:H34">E29/C29%-100</f>
        <v>8.817572969035893</v>
      </c>
      <c r="I29" s="91" t="s">
        <v>62</v>
      </c>
      <c r="J29" s="91"/>
      <c r="K29" s="91"/>
      <c r="L29" s="91"/>
      <c r="M29" s="91"/>
      <c r="N29" s="91"/>
      <c r="O29" s="91"/>
      <c r="P29" s="91"/>
    </row>
    <row r="30" spans="1:16" ht="33">
      <c r="A30" s="15"/>
      <c r="B30" s="12" t="s">
        <v>46</v>
      </c>
      <c r="C30" s="11">
        <f>(1201167.1+99000-99000)/1000</f>
        <v>1201.1671000000001</v>
      </c>
      <c r="D30" s="11"/>
      <c r="E30" s="17">
        <f>(1321283.8+99000-99000)/1000</f>
        <v>1321.2838000000002</v>
      </c>
      <c r="F30" s="11"/>
      <c r="G30" s="11">
        <f t="shared" si="4"/>
        <v>120.11670000000004</v>
      </c>
      <c r="H30" s="11">
        <f t="shared" si="5"/>
        <v>9.99999916747636</v>
      </c>
      <c r="I30" s="91"/>
      <c r="J30" s="91"/>
      <c r="K30" s="91"/>
      <c r="L30" s="91"/>
      <c r="M30" s="91"/>
      <c r="N30" s="91"/>
      <c r="O30" s="91"/>
      <c r="P30" s="91"/>
    </row>
    <row r="31" spans="1:16" ht="16.5">
      <c r="A31" s="15"/>
      <c r="B31" s="12" t="s">
        <v>45</v>
      </c>
      <c r="C31" s="11">
        <v>99</v>
      </c>
      <c r="D31" s="11"/>
      <c r="E31" s="17">
        <v>99</v>
      </c>
      <c r="F31" s="11"/>
      <c r="G31" s="11">
        <f t="shared" si="4"/>
        <v>0</v>
      </c>
      <c r="H31" s="11">
        <f t="shared" si="5"/>
        <v>0</v>
      </c>
      <c r="I31" s="91"/>
      <c r="J31" s="91"/>
      <c r="K31" s="91"/>
      <c r="L31" s="91"/>
      <c r="M31" s="91"/>
      <c r="N31" s="91"/>
      <c r="O31" s="91"/>
      <c r="P31" s="91"/>
    </row>
    <row r="32" spans="1:16" ht="16.5">
      <c r="A32" s="15"/>
      <c r="B32" s="12" t="s">
        <v>20</v>
      </c>
      <c r="C32" s="11">
        <f>39664.3/1000</f>
        <v>39.664300000000004</v>
      </c>
      <c r="D32" s="11"/>
      <c r="E32" s="11">
        <f>39664.3/1000</f>
        <v>39.664300000000004</v>
      </c>
      <c r="F32" s="11"/>
      <c r="G32" s="11">
        <f t="shared" si="4"/>
        <v>0</v>
      </c>
      <c r="H32" s="11">
        <f t="shared" si="5"/>
        <v>0</v>
      </c>
      <c r="I32" s="91"/>
      <c r="J32" s="91"/>
      <c r="K32" s="91"/>
      <c r="L32" s="91"/>
      <c r="M32" s="91"/>
      <c r="N32" s="91"/>
      <c r="O32" s="91"/>
      <c r="P32" s="91"/>
    </row>
    <row r="33" spans="1:16" ht="16.5">
      <c r="A33" s="15"/>
      <c r="B33" s="12" t="s">
        <v>21</v>
      </c>
      <c r="C33" s="11">
        <f>20000/1000</f>
        <v>20</v>
      </c>
      <c r="D33" s="11"/>
      <c r="E33" s="11">
        <f>20000/1000</f>
        <v>20</v>
      </c>
      <c r="F33" s="11"/>
      <c r="G33" s="11">
        <f t="shared" si="4"/>
        <v>0</v>
      </c>
      <c r="H33" s="11">
        <f t="shared" si="5"/>
        <v>0</v>
      </c>
      <c r="I33" s="91"/>
      <c r="J33" s="91"/>
      <c r="K33" s="91"/>
      <c r="L33" s="91"/>
      <c r="M33" s="91"/>
      <c r="N33" s="91"/>
      <c r="O33" s="91"/>
      <c r="P33" s="91"/>
    </row>
    <row r="34" spans="1:16" ht="16.5">
      <c r="A34" s="15"/>
      <c r="B34" s="12" t="s">
        <v>22</v>
      </c>
      <c r="C34" s="11">
        <f>2410.8/1000</f>
        <v>2.4108</v>
      </c>
      <c r="D34" s="11"/>
      <c r="E34" s="11">
        <f>2410.8/1000</f>
        <v>2.4108</v>
      </c>
      <c r="F34" s="11"/>
      <c r="G34" s="11">
        <f t="shared" si="4"/>
        <v>0</v>
      </c>
      <c r="H34" s="11">
        <f t="shared" si="5"/>
        <v>0</v>
      </c>
      <c r="I34" s="91"/>
      <c r="J34" s="91"/>
      <c r="K34" s="91"/>
      <c r="L34" s="91"/>
      <c r="M34" s="91"/>
      <c r="N34" s="91"/>
      <c r="O34" s="91"/>
      <c r="P34" s="91"/>
    </row>
    <row r="35" spans="1:16" ht="18" customHeight="1">
      <c r="A35" s="52"/>
      <c r="B35" s="34"/>
      <c r="C35" s="35"/>
      <c r="D35" s="35"/>
      <c r="E35" s="35"/>
      <c r="F35" s="35"/>
      <c r="G35" s="35"/>
      <c r="H35" s="35"/>
      <c r="I35" s="44"/>
      <c r="J35" s="44"/>
      <c r="K35" s="44"/>
      <c r="L35" s="44"/>
      <c r="M35" s="44"/>
      <c r="N35" s="44"/>
      <c r="O35" s="44"/>
      <c r="P35" s="44"/>
    </row>
    <row r="36" spans="1:16" ht="208.5" customHeight="1">
      <c r="A36" s="16" t="s">
        <v>2</v>
      </c>
      <c r="B36" s="13" t="s">
        <v>49</v>
      </c>
      <c r="C36" s="9">
        <f>173601.7/1000</f>
        <v>173.60170000000002</v>
      </c>
      <c r="D36" s="11"/>
      <c r="E36" s="29">
        <v>0</v>
      </c>
      <c r="F36" s="11"/>
      <c r="G36" s="9">
        <f>E36-C36</f>
        <v>-173.60170000000002</v>
      </c>
      <c r="H36" s="22" t="s">
        <v>35</v>
      </c>
      <c r="I36" s="90" t="s">
        <v>70</v>
      </c>
      <c r="J36" s="90"/>
      <c r="K36" s="90"/>
      <c r="L36" s="90"/>
      <c r="M36" s="90"/>
      <c r="N36" s="90"/>
      <c r="O36" s="90"/>
      <c r="P36" s="90"/>
    </row>
    <row r="37" spans="1:16" ht="16.5" customHeight="1">
      <c r="A37" s="52"/>
      <c r="B37" s="34"/>
      <c r="C37" s="35"/>
      <c r="D37" s="35"/>
      <c r="E37" s="35"/>
      <c r="F37" s="35"/>
      <c r="G37" s="35"/>
      <c r="H37" s="35"/>
      <c r="I37" s="36"/>
      <c r="J37" s="30"/>
      <c r="K37" s="31"/>
      <c r="L37" s="31"/>
      <c r="M37" s="32"/>
      <c r="N37" s="32"/>
      <c r="O37" s="32"/>
      <c r="P37" s="32"/>
    </row>
    <row r="38" spans="1:16" ht="97.5" customHeight="1">
      <c r="A38" s="16" t="s">
        <v>29</v>
      </c>
      <c r="B38" s="13" t="s">
        <v>50</v>
      </c>
      <c r="C38" s="9">
        <f>236230/1000</f>
        <v>236.23</v>
      </c>
      <c r="D38" s="11"/>
      <c r="E38" s="9">
        <f>236230/1000</f>
        <v>236.23</v>
      </c>
      <c r="F38" s="11"/>
      <c r="G38" s="9">
        <f>E38-C38</f>
        <v>0</v>
      </c>
      <c r="H38" s="22" t="s">
        <v>35</v>
      </c>
      <c r="I38" s="89" t="s">
        <v>71</v>
      </c>
      <c r="J38" s="89"/>
      <c r="K38" s="89"/>
      <c r="L38" s="89"/>
      <c r="M38" s="89"/>
      <c r="N38" s="89"/>
      <c r="O38" s="89"/>
      <c r="P38" s="89"/>
    </row>
    <row r="39" spans="1:16" ht="15.75" customHeight="1">
      <c r="A39" s="33"/>
      <c r="B39" s="53"/>
      <c r="C39" s="35"/>
      <c r="D39" s="35"/>
      <c r="E39" s="35"/>
      <c r="F39" s="35"/>
      <c r="G39" s="35"/>
      <c r="H39" s="35"/>
      <c r="I39" s="36"/>
      <c r="J39" s="30"/>
      <c r="K39" s="31"/>
      <c r="L39" s="31"/>
      <c r="M39" s="32"/>
      <c r="N39" s="32"/>
      <c r="O39" s="32"/>
      <c r="P39" s="32"/>
    </row>
    <row r="40" spans="1:16" ht="49.5">
      <c r="A40" s="16" t="s">
        <v>30</v>
      </c>
      <c r="B40" s="13" t="s">
        <v>51</v>
      </c>
      <c r="C40" s="9">
        <f>73710/1000</f>
        <v>73.71</v>
      </c>
      <c r="D40" s="11"/>
      <c r="E40" s="9">
        <f>73710/1000</f>
        <v>73.71</v>
      </c>
      <c r="F40" s="11"/>
      <c r="G40" s="9">
        <f>E40-C40</f>
        <v>0</v>
      </c>
      <c r="H40" s="22" t="s">
        <v>35</v>
      </c>
      <c r="I40" s="40"/>
      <c r="J40" s="41"/>
      <c r="K40" s="42"/>
      <c r="L40" s="42"/>
      <c r="M40" s="43"/>
      <c r="N40" s="43"/>
      <c r="O40" s="43"/>
      <c r="P40" s="43"/>
    </row>
    <row r="41" spans="1:16" ht="12.75" customHeight="1">
      <c r="A41" s="33"/>
      <c r="B41" s="34"/>
      <c r="C41" s="35"/>
      <c r="D41" s="35"/>
      <c r="E41" s="35"/>
      <c r="F41" s="35"/>
      <c r="G41" s="35"/>
      <c r="H41" s="35"/>
      <c r="I41" s="36"/>
      <c r="J41" s="30"/>
      <c r="K41" s="31"/>
      <c r="L41" s="31"/>
      <c r="M41" s="32"/>
      <c r="N41" s="32"/>
      <c r="O41" s="32"/>
      <c r="P41" s="32"/>
    </row>
    <row r="42" spans="1:16" ht="33">
      <c r="A42" s="16" t="s">
        <v>31</v>
      </c>
      <c r="B42" s="13" t="s">
        <v>52</v>
      </c>
      <c r="C42" s="9">
        <f>C43+C46+C49</f>
        <v>858.0324</v>
      </c>
      <c r="D42" s="11"/>
      <c r="E42" s="9">
        <f>E43+E46+E49</f>
        <v>830.6454</v>
      </c>
      <c r="F42" s="11"/>
      <c r="G42" s="9">
        <f>E42-C42</f>
        <v>-27.387000000000057</v>
      </c>
      <c r="H42" s="9">
        <f aca="true" t="shared" si="6" ref="H42:H53">E42/C42%-100</f>
        <v>-3.1918375110310677</v>
      </c>
      <c r="I42" s="51"/>
      <c r="J42" s="51"/>
      <c r="K42" s="51"/>
      <c r="L42" s="51"/>
      <c r="M42" s="51"/>
      <c r="N42" s="51"/>
      <c r="O42" s="51"/>
      <c r="P42" s="51"/>
    </row>
    <row r="43" spans="1:16" ht="33" customHeight="1" hidden="1">
      <c r="A43" s="16"/>
      <c r="B43" s="12" t="s">
        <v>23</v>
      </c>
      <c r="C43" s="11">
        <f>C44+C45</f>
        <v>582.6671</v>
      </c>
      <c r="D43" s="11"/>
      <c r="E43" s="11">
        <f>E44+E45</f>
        <v>556.1264</v>
      </c>
      <c r="F43" s="11"/>
      <c r="G43" s="11"/>
      <c r="H43" s="9">
        <f t="shared" si="6"/>
        <v>-4.555036658153526</v>
      </c>
      <c r="I43" s="51"/>
      <c r="J43" s="51"/>
      <c r="K43" s="51"/>
      <c r="L43" s="51"/>
      <c r="M43" s="51"/>
      <c r="N43" s="51"/>
      <c r="O43" s="51"/>
      <c r="P43" s="51"/>
    </row>
    <row r="44" spans="1:16" ht="16.5" customHeight="1" hidden="1">
      <c r="A44" s="16"/>
      <c r="B44" s="12" t="s">
        <v>25</v>
      </c>
      <c r="C44" s="11">
        <f>18102/1000</f>
        <v>18.102</v>
      </c>
      <c r="D44" s="11"/>
      <c r="E44" s="11">
        <f>13260/1000</f>
        <v>13.26</v>
      </c>
      <c r="F44" s="11"/>
      <c r="G44" s="11"/>
      <c r="H44" s="9">
        <f t="shared" si="6"/>
        <v>-26.748425588332793</v>
      </c>
      <c r="I44" s="51"/>
      <c r="J44" s="51"/>
      <c r="K44" s="51"/>
      <c r="L44" s="51"/>
      <c r="M44" s="51"/>
      <c r="N44" s="51"/>
      <c r="O44" s="51"/>
      <c r="P44" s="51"/>
    </row>
    <row r="45" spans="1:16" ht="16.5" customHeight="1" hidden="1">
      <c r="A45" s="16"/>
      <c r="B45" s="12" t="s">
        <v>24</v>
      </c>
      <c r="C45" s="11">
        <f>564565.1/1000</f>
        <v>564.5651</v>
      </c>
      <c r="D45" s="11"/>
      <c r="E45" s="11">
        <f>542866.4/1000</f>
        <v>542.8664</v>
      </c>
      <c r="F45" s="11"/>
      <c r="G45" s="11"/>
      <c r="H45" s="9">
        <f t="shared" si="6"/>
        <v>-3.8434363016771727</v>
      </c>
      <c r="I45" s="51"/>
      <c r="J45" s="51"/>
      <c r="K45" s="51"/>
      <c r="L45" s="51"/>
      <c r="M45" s="51"/>
      <c r="N45" s="51"/>
      <c r="O45" s="51"/>
      <c r="P45" s="51"/>
    </row>
    <row r="46" spans="1:16" ht="16.5" customHeight="1" hidden="1">
      <c r="A46" s="16"/>
      <c r="B46" s="12" t="s">
        <v>26</v>
      </c>
      <c r="C46" s="11">
        <f>C47+C48</f>
        <v>125.46960000000001</v>
      </c>
      <c r="D46" s="11"/>
      <c r="E46" s="11">
        <f>E47+E48</f>
        <v>120.071</v>
      </c>
      <c r="F46" s="11"/>
      <c r="G46" s="11"/>
      <c r="H46" s="9">
        <f t="shared" si="6"/>
        <v>-4.302715558190997</v>
      </c>
      <c r="I46" s="51"/>
      <c r="J46" s="51"/>
      <c r="K46" s="51"/>
      <c r="L46" s="51"/>
      <c r="M46" s="51"/>
      <c r="N46" s="51"/>
      <c r="O46" s="51"/>
      <c r="P46" s="51"/>
    </row>
    <row r="47" spans="1:16" ht="16.5" customHeight="1" hidden="1">
      <c r="A47" s="16"/>
      <c r="B47" s="12" t="s">
        <v>25</v>
      </c>
      <c r="C47" s="11">
        <f>6783/1000</f>
        <v>6.783</v>
      </c>
      <c r="D47" s="11"/>
      <c r="E47" s="11">
        <f>5871/1000</f>
        <v>5.871</v>
      </c>
      <c r="F47" s="11"/>
      <c r="G47" s="11"/>
      <c r="H47" s="9">
        <f t="shared" si="6"/>
        <v>-13.445378151260499</v>
      </c>
      <c r="I47" s="51"/>
      <c r="J47" s="51"/>
      <c r="K47" s="51"/>
      <c r="L47" s="51"/>
      <c r="M47" s="51"/>
      <c r="N47" s="51"/>
      <c r="O47" s="51"/>
      <c r="P47" s="51"/>
    </row>
    <row r="48" spans="1:16" ht="16.5" customHeight="1" hidden="1">
      <c r="A48" s="16"/>
      <c r="B48" s="12" t="s">
        <v>24</v>
      </c>
      <c r="C48" s="11">
        <f>118686.6/1000</f>
        <v>118.68660000000001</v>
      </c>
      <c r="D48" s="11"/>
      <c r="E48" s="11">
        <v>114.2</v>
      </c>
      <c r="F48" s="11"/>
      <c r="G48" s="11"/>
      <c r="H48" s="9">
        <f t="shared" si="6"/>
        <v>-3.7802077066829867</v>
      </c>
      <c r="I48" s="51"/>
      <c r="J48" s="51"/>
      <c r="K48" s="51"/>
      <c r="L48" s="51"/>
      <c r="M48" s="51"/>
      <c r="N48" s="51"/>
      <c r="O48" s="51"/>
      <c r="P48" s="51"/>
    </row>
    <row r="49" spans="1:16" ht="33" customHeight="1" hidden="1">
      <c r="A49" s="16"/>
      <c r="B49" s="12" t="s">
        <v>27</v>
      </c>
      <c r="C49" s="11">
        <f>C50+C51</f>
        <v>149.89570000000003</v>
      </c>
      <c r="D49" s="11"/>
      <c r="E49" s="11">
        <f>E50+E51</f>
        <v>154.448</v>
      </c>
      <c r="F49" s="11"/>
      <c r="G49" s="11"/>
      <c r="H49" s="9">
        <f t="shared" si="6"/>
        <v>3.036978378966154</v>
      </c>
      <c r="I49" s="51"/>
      <c r="J49" s="51"/>
      <c r="K49" s="51"/>
      <c r="L49" s="51"/>
      <c r="M49" s="51"/>
      <c r="N49" s="51"/>
      <c r="O49" s="51"/>
      <c r="P49" s="51"/>
    </row>
    <row r="50" spans="1:16" ht="16.5" customHeight="1" hidden="1">
      <c r="A50" s="16"/>
      <c r="B50" s="12" t="s">
        <v>25</v>
      </c>
      <c r="C50" s="11">
        <f>3348/1000</f>
        <v>3.348</v>
      </c>
      <c r="D50" s="11"/>
      <c r="E50" s="11">
        <f>3348/1000</f>
        <v>3.348</v>
      </c>
      <c r="F50" s="11"/>
      <c r="G50" s="11"/>
      <c r="H50" s="9">
        <f t="shared" si="6"/>
        <v>0</v>
      </c>
      <c r="I50" s="51"/>
      <c r="J50" s="51"/>
      <c r="K50" s="51"/>
      <c r="L50" s="51"/>
      <c r="M50" s="51"/>
      <c r="N50" s="51"/>
      <c r="O50" s="51"/>
      <c r="P50" s="51"/>
    </row>
    <row r="51" spans="1:16" ht="16.5" customHeight="1" hidden="1">
      <c r="A51" s="16"/>
      <c r="B51" s="12" t="s">
        <v>24</v>
      </c>
      <c r="C51" s="11">
        <f>146547.7/1000</f>
        <v>146.54770000000002</v>
      </c>
      <c r="D51" s="11"/>
      <c r="E51" s="11">
        <v>151.1</v>
      </c>
      <c r="F51" s="11"/>
      <c r="G51" s="11"/>
      <c r="H51" s="9">
        <f t="shared" si="6"/>
        <v>3.1063605911249255</v>
      </c>
      <c r="I51" s="51"/>
      <c r="J51" s="51"/>
      <c r="K51" s="51"/>
      <c r="L51" s="51"/>
      <c r="M51" s="51"/>
      <c r="N51" s="51"/>
      <c r="O51" s="51"/>
      <c r="P51" s="51"/>
    </row>
    <row r="52" spans="1:16" ht="16.5">
      <c r="A52" s="16"/>
      <c r="B52" s="21" t="s">
        <v>34</v>
      </c>
      <c r="C52" s="17">
        <v>717.8</v>
      </c>
      <c r="D52" s="11"/>
      <c r="E52" s="17">
        <v>718.4</v>
      </c>
      <c r="F52" s="11"/>
      <c r="G52" s="11">
        <f>E52-C52</f>
        <v>0.6000000000000227</v>
      </c>
      <c r="H52" s="11">
        <f t="shared" si="6"/>
        <v>0.08358874338254907</v>
      </c>
      <c r="I52" s="51"/>
      <c r="J52" s="51"/>
      <c r="K52" s="51"/>
      <c r="L52" s="51"/>
      <c r="M52" s="51"/>
      <c r="N52" s="51"/>
      <c r="O52" s="51"/>
      <c r="P52" s="51"/>
    </row>
    <row r="53" spans="1:16" ht="30.75" customHeight="1">
      <c r="A53" s="16"/>
      <c r="B53" s="13" t="s">
        <v>63</v>
      </c>
      <c r="C53" s="9">
        <f>C5+C29+C36+C38+C40+C42</f>
        <v>30490.412199999995</v>
      </c>
      <c r="D53" s="11"/>
      <c r="E53" s="9">
        <f>E5+E29+E36+E38+E40+E42</f>
        <v>34225.3969</v>
      </c>
      <c r="F53" s="11"/>
      <c r="G53" s="9">
        <f>E53-C53</f>
        <v>3734.9847000000045</v>
      </c>
      <c r="H53" s="9">
        <f t="shared" si="6"/>
        <v>12.249702219506247</v>
      </c>
      <c r="I53" s="40"/>
      <c r="J53" s="41"/>
      <c r="K53" s="42"/>
      <c r="L53" s="42"/>
      <c r="M53" s="43"/>
      <c r="N53" s="43"/>
      <c r="O53" s="43"/>
      <c r="P53" s="43"/>
    </row>
    <row r="54" spans="1:16" ht="16.5">
      <c r="A54" s="33"/>
      <c r="B54" s="34"/>
      <c r="C54" s="35"/>
      <c r="D54" s="35"/>
      <c r="E54" s="35"/>
      <c r="F54" s="35"/>
      <c r="G54" s="35"/>
      <c r="H54" s="35"/>
      <c r="I54" s="36"/>
      <c r="J54" s="30"/>
      <c r="K54" s="31"/>
      <c r="L54" s="31"/>
      <c r="M54" s="32"/>
      <c r="N54" s="32"/>
      <c r="O54" s="32"/>
      <c r="P54" s="32"/>
    </row>
    <row r="55" spans="1:16" ht="16.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25"/>
      <c r="L55" s="25"/>
      <c r="M55" s="25"/>
      <c r="N55" s="25"/>
      <c r="O55" s="25"/>
      <c r="P55" s="25"/>
    </row>
    <row r="56" spans="1:10" ht="16.5">
      <c r="A56" s="20"/>
      <c r="B56" s="3"/>
      <c r="C56" s="4"/>
      <c r="D56" s="4"/>
      <c r="E56" s="4"/>
      <c r="F56" s="4"/>
      <c r="G56" s="4"/>
      <c r="H56" s="4"/>
      <c r="I56" s="4"/>
      <c r="J56" s="4"/>
    </row>
    <row r="57" spans="1:15" ht="16.5">
      <c r="A57" s="8"/>
      <c r="B57" s="3"/>
      <c r="C57" s="4"/>
      <c r="D57" s="23"/>
      <c r="E57" s="55" t="s">
        <v>64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0" ht="16.5">
      <c r="A58" s="8"/>
      <c r="B58" s="3"/>
      <c r="C58" s="4"/>
      <c r="D58" s="4"/>
      <c r="E58" s="4"/>
      <c r="F58" s="4"/>
      <c r="G58" s="4"/>
      <c r="H58" s="4"/>
      <c r="I58" s="4"/>
      <c r="J58" s="4"/>
    </row>
    <row r="59" spans="1:10" ht="16.5">
      <c r="A59" s="8"/>
      <c r="B59" s="3"/>
      <c r="C59" s="4"/>
      <c r="D59" s="4"/>
      <c r="E59" s="4"/>
      <c r="F59" s="4"/>
      <c r="G59" s="4"/>
      <c r="H59" s="4"/>
      <c r="I59" s="4"/>
      <c r="J59" s="4"/>
    </row>
    <row r="60" spans="1:10" ht="16.5">
      <c r="A60" s="8"/>
      <c r="B60" s="3"/>
      <c r="C60" s="4"/>
      <c r="D60" s="4"/>
      <c r="E60" s="4"/>
      <c r="F60" s="4"/>
      <c r="G60" s="4"/>
      <c r="H60" s="4"/>
      <c r="I60" s="4"/>
      <c r="J60" s="4"/>
    </row>
    <row r="61" spans="1:10" ht="16.5">
      <c r="A61" s="8"/>
      <c r="B61" s="3"/>
      <c r="C61" s="4"/>
      <c r="D61" s="4"/>
      <c r="E61" s="4"/>
      <c r="F61" s="4"/>
      <c r="G61" s="4"/>
      <c r="H61" s="4"/>
      <c r="I61" s="4"/>
      <c r="J61" s="4"/>
    </row>
    <row r="62" spans="1:17" ht="16.5">
      <c r="A62" s="8"/>
      <c r="B62" s="3"/>
      <c r="C62" s="4"/>
      <c r="D62" s="4"/>
      <c r="E62" s="4"/>
      <c r="F62" s="4"/>
      <c r="G62" s="4"/>
      <c r="H62" s="4"/>
      <c r="I62" s="4"/>
      <c r="J62" s="26"/>
      <c r="K62" s="27"/>
      <c r="L62" s="27"/>
      <c r="M62" s="27"/>
      <c r="N62" s="27"/>
      <c r="O62" s="27"/>
      <c r="P62" s="27"/>
      <c r="Q62" s="27"/>
    </row>
    <row r="63" spans="1:17" ht="16.5">
      <c r="A63" s="8"/>
      <c r="B63" s="3"/>
      <c r="C63" s="4"/>
      <c r="D63" s="4"/>
      <c r="E63" s="4"/>
      <c r="F63" s="4"/>
      <c r="G63" s="4"/>
      <c r="H63" s="4"/>
      <c r="I63" s="4"/>
      <c r="J63" s="27"/>
      <c r="K63" s="27"/>
      <c r="L63" s="27"/>
      <c r="M63" s="27"/>
      <c r="N63" s="27"/>
      <c r="O63" s="27"/>
      <c r="P63" s="27"/>
      <c r="Q63" s="27"/>
    </row>
    <row r="64" spans="1:17" ht="16.5">
      <c r="A64" s="8"/>
      <c r="B64" s="3"/>
      <c r="C64" s="4"/>
      <c r="D64" s="4"/>
      <c r="E64" s="4"/>
      <c r="F64" s="4"/>
      <c r="G64" s="4"/>
      <c r="H64" s="4"/>
      <c r="I64" s="4"/>
      <c r="J64" s="27"/>
      <c r="K64" s="27"/>
      <c r="L64" s="27"/>
      <c r="M64" s="27"/>
      <c r="N64" s="27"/>
      <c r="O64" s="27"/>
      <c r="P64" s="27"/>
      <c r="Q64" s="27"/>
    </row>
    <row r="65" spans="1:17" ht="16.5">
      <c r="A65" s="8"/>
      <c r="B65" s="3"/>
      <c r="C65" s="4"/>
      <c r="D65" s="4"/>
      <c r="E65" s="4"/>
      <c r="F65" s="4"/>
      <c r="G65" s="4"/>
      <c r="H65" s="4"/>
      <c r="I65" s="4"/>
      <c r="J65" s="27"/>
      <c r="K65" s="27"/>
      <c r="L65" s="27"/>
      <c r="M65" s="27"/>
      <c r="N65" s="27"/>
      <c r="O65" s="27"/>
      <c r="P65" s="27"/>
      <c r="Q65" s="27"/>
    </row>
    <row r="66" spans="1:17" ht="16.5">
      <c r="A66" s="8"/>
      <c r="B66" s="3"/>
      <c r="C66" s="4"/>
      <c r="D66" s="4"/>
      <c r="E66" s="4"/>
      <c r="F66" s="4"/>
      <c r="G66" s="4"/>
      <c r="H66" s="4"/>
      <c r="I66" s="4"/>
      <c r="J66" s="27"/>
      <c r="K66" s="27"/>
      <c r="L66" s="27"/>
      <c r="M66" s="27"/>
      <c r="N66" s="27"/>
      <c r="O66" s="27"/>
      <c r="P66" s="27"/>
      <c r="Q66" s="27"/>
    </row>
    <row r="67" spans="1:17" ht="16.5">
      <c r="A67" s="8"/>
      <c r="B67" s="3"/>
      <c r="C67" s="4"/>
      <c r="D67" s="4"/>
      <c r="E67" s="4"/>
      <c r="F67" s="4"/>
      <c r="G67" s="4"/>
      <c r="H67" s="4"/>
      <c r="I67" s="4"/>
      <c r="J67" s="27"/>
      <c r="K67" s="27"/>
      <c r="L67" s="27"/>
      <c r="M67" s="27"/>
      <c r="N67" s="27"/>
      <c r="O67" s="27"/>
      <c r="P67" s="27"/>
      <c r="Q67" s="27"/>
    </row>
    <row r="68" spans="1:10" ht="16.5">
      <c r="A68" s="8"/>
      <c r="B68" s="3"/>
      <c r="C68" s="4"/>
      <c r="D68" s="4"/>
      <c r="E68" s="4"/>
      <c r="F68" s="4"/>
      <c r="G68" s="4"/>
      <c r="H68" s="4"/>
      <c r="I68" s="4"/>
      <c r="J68" s="4"/>
    </row>
    <row r="69" spans="1:10" ht="16.5">
      <c r="A69" s="8"/>
      <c r="B69" s="3"/>
      <c r="C69" s="4"/>
      <c r="D69" s="4"/>
      <c r="E69" s="4"/>
      <c r="F69" s="4"/>
      <c r="G69" s="4"/>
      <c r="H69" s="4"/>
      <c r="I69" s="4"/>
      <c r="J69" s="4"/>
    </row>
    <row r="70" spans="1:10" ht="16.5">
      <c r="A70" s="8"/>
      <c r="B70" s="3"/>
      <c r="C70" s="4"/>
      <c r="D70" s="4"/>
      <c r="E70" s="4"/>
      <c r="F70" s="4"/>
      <c r="G70" s="4"/>
      <c r="H70" s="4"/>
      <c r="I70" s="4"/>
      <c r="J70" s="4"/>
    </row>
    <row r="71" spans="1:10" ht="16.5">
      <c r="A71" s="8"/>
      <c r="B71" s="3"/>
      <c r="C71" s="4"/>
      <c r="D71" s="4"/>
      <c r="E71" s="4"/>
      <c r="F71" s="4"/>
      <c r="G71" s="4"/>
      <c r="H71" s="4"/>
      <c r="I71" s="4"/>
      <c r="J71" s="4"/>
    </row>
    <row r="72" ht="16.5">
      <c r="A72" s="8"/>
    </row>
    <row r="73" ht="16.5">
      <c r="A73" s="8"/>
    </row>
    <row r="74" ht="16.5">
      <c r="A74" s="8"/>
    </row>
    <row r="75" ht="16.5">
      <c r="A75" s="8"/>
    </row>
    <row r="76" ht="16.5">
      <c r="A76" s="8"/>
    </row>
    <row r="77" ht="16.5">
      <c r="A77" s="8"/>
    </row>
    <row r="78" ht="16.5">
      <c r="A78" s="8"/>
    </row>
    <row r="79" ht="16.5">
      <c r="A79" s="8"/>
    </row>
    <row r="80" ht="16.5">
      <c r="A80" s="8"/>
    </row>
    <row r="81" ht="16.5">
      <c r="A81" s="8"/>
    </row>
    <row r="82" ht="16.5">
      <c r="A82" s="8"/>
    </row>
    <row r="83" ht="16.5">
      <c r="A83" s="8"/>
    </row>
    <row r="84" ht="16.5">
      <c r="A84" s="8"/>
    </row>
    <row r="85" ht="16.5">
      <c r="A85" s="8"/>
    </row>
    <row r="86" ht="16.5">
      <c r="A86" s="8"/>
    </row>
  </sheetData>
  <sheetProtection/>
  <mergeCells count="19">
    <mergeCell ref="I3:P4"/>
    <mergeCell ref="D3:D4"/>
    <mergeCell ref="G3:H3"/>
    <mergeCell ref="F3:F4"/>
    <mergeCell ref="I8:P8"/>
    <mergeCell ref="I38:P38"/>
    <mergeCell ref="I36:P36"/>
    <mergeCell ref="I29:P34"/>
    <mergeCell ref="I16:P16"/>
    <mergeCell ref="E57:O57"/>
    <mergeCell ref="A1:P1"/>
    <mergeCell ref="I15:P15"/>
    <mergeCell ref="I9:P10"/>
    <mergeCell ref="C3:C4"/>
    <mergeCell ref="B3:B4"/>
    <mergeCell ref="E3:E4"/>
    <mergeCell ref="I7:P7"/>
    <mergeCell ref="I5:P6"/>
    <mergeCell ref="A3:A4"/>
  </mergeCells>
  <printOptions/>
  <pageMargins left="0.17" right="0.2" top="0.27" bottom="0.25" header="0.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2014-02-18T11:34:40Z</cp:lastPrinted>
  <dcterms:created xsi:type="dcterms:W3CDTF">1996-10-08T23:32:33Z</dcterms:created>
  <dcterms:modified xsi:type="dcterms:W3CDTF">2014-02-19T12:05:26Z</dcterms:modified>
  <cp:category/>
  <cp:version/>
  <cp:contentType/>
  <cp:contentStatus/>
</cp:coreProperties>
</file>